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<sst xmlns="http://schemas.openxmlformats.org/spreadsheetml/2006/main" count="1360" uniqueCount="298">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</sst>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5">
        <row r="6">
          <cell r="G6">
            <v>35256567.83</v>
          </cell>
        </row>
        <row r="8">
          <cell r="G8">
            <v>0</v>
          </cell>
        </row>
        <row r="9">
          <cell r="G9">
            <v>8909732.21</v>
          </cell>
        </row>
        <row r="10">
          <cell r="G10">
            <v>26346835.619999997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86" sqref="B8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293</v>
      </c>
      <c r="N3" s="259" t="s">
        <v>294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291</v>
      </c>
      <c r="F4" s="222" t="s">
        <v>116</v>
      </c>
      <c r="G4" s="244" t="s">
        <v>292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297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386481.17</v>
      </c>
      <c r="G8" s="18">
        <f aca="true" t="shared" si="0" ref="G8:G54">F8-E8</f>
        <v>-26594.929999999935</v>
      </c>
      <c r="H8" s="45">
        <f>F8/E8*100</f>
        <v>93.5617359610009</v>
      </c>
      <c r="I8" s="31">
        <f aca="true" t="shared" si="1" ref="I8:I54">F8-D8</f>
        <v>-185807.83000000002</v>
      </c>
      <c r="J8" s="31">
        <f aca="true" t="shared" si="2" ref="J8:J14">F8/D8*100</f>
        <v>67.53251766153114</v>
      </c>
      <c r="K8" s="18">
        <f>K9+K15+K18+K19+K20+K32</f>
        <v>63836.846000000005</v>
      </c>
      <c r="L8" s="18"/>
      <c r="M8" s="18">
        <f>M9+M15+M18+M19+M20+M32+M17</f>
        <v>84902.7</v>
      </c>
      <c r="N8" s="18">
        <f>N9+N15+N18+N19+N20+N32+N17</f>
        <v>19708.940000000002</v>
      </c>
      <c r="O8" s="31">
        <f aca="true" t="shared" si="3" ref="O8:O54">N8-M8</f>
        <v>-65193.759999999995</v>
      </c>
      <c r="P8" s="31">
        <f>F8/M8*100</f>
        <v>455.2048050297576</v>
      </c>
      <c r="Q8" s="31">
        <f>N8-33748.16</f>
        <v>-14039.220000000001</v>
      </c>
      <c r="R8" s="125">
        <f>N8/33748.16</f>
        <v>0.5840004314309284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215224.13</v>
      </c>
      <c r="G9" s="43">
        <f t="shared" si="0"/>
        <v>-7300.5199999999895</v>
      </c>
      <c r="H9" s="35">
        <f aca="true" t="shared" si="4" ref="H9:H32">F9/E9*100</f>
        <v>96.71923088071367</v>
      </c>
      <c r="I9" s="50">
        <f t="shared" si="1"/>
        <v>-97465.87</v>
      </c>
      <c r="J9" s="50">
        <f t="shared" si="2"/>
        <v>68.8298730371934</v>
      </c>
      <c r="K9" s="132">
        <f>F9-250278.43/75*60</f>
        <v>15001.385999999999</v>
      </c>
      <c r="L9" s="132">
        <f>F9/(250278.43/75*60)*100</f>
        <v>107.49234862149326</v>
      </c>
      <c r="M9" s="35">
        <f>E9-липень!E9</f>
        <v>34220</v>
      </c>
      <c r="N9" s="35">
        <f>F9-липень!F9</f>
        <v>11789.690000000002</v>
      </c>
      <c r="O9" s="47">
        <f t="shared" si="3"/>
        <v>-22430.309999999998</v>
      </c>
      <c r="P9" s="50">
        <f aca="true" t="shared" si="5" ref="P9:P32">N9/M9*100</f>
        <v>34.45263004091175</v>
      </c>
      <c r="Q9" s="132">
        <f>N9-26568.11</f>
        <v>-14778.419999999998</v>
      </c>
      <c r="R9" s="133">
        <f>N9/26568.11</f>
        <v>0.4437534322162925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F15-72.71</f>
        <v>-861.47</v>
      </c>
      <c r="L15" s="53">
        <f>F15/72.71*100</f>
        <v>-1084.802640627149</v>
      </c>
      <c r="M15" s="35">
        <f>E15-липень!E15</f>
        <v>0</v>
      </c>
      <c r="N15" s="35">
        <f>F15-липень!F15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37289.62</v>
      </c>
      <c r="G19" s="43">
        <f t="shared" si="0"/>
        <v>-6633.129999999997</v>
      </c>
      <c r="H19" s="35">
        <f t="shared" si="4"/>
        <v>84.89819057322231</v>
      </c>
      <c r="I19" s="50">
        <f t="shared" si="1"/>
        <v>-24920.379999999997</v>
      </c>
      <c r="J19" s="178">
        <f>F19/D19*100</f>
        <v>59.941520655843114</v>
      </c>
      <c r="K19" s="179">
        <f>F19-0</f>
        <v>37289.62</v>
      </c>
      <c r="L19" s="180"/>
      <c r="M19" s="35">
        <f>E19-липень!E19</f>
        <v>17700</v>
      </c>
      <c r="N19" s="35">
        <f>F19-липень!F19</f>
        <v>165.01000000000204</v>
      </c>
      <c r="O19" s="47">
        <f t="shared" si="3"/>
        <v>-17534.989999999998</v>
      </c>
      <c r="P19" s="50">
        <f t="shared" si="5"/>
        <v>0.9322598870056611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130708.63</v>
      </c>
      <c r="G20" s="43">
        <f t="shared" si="0"/>
        <v>-9983.669999999984</v>
      </c>
      <c r="H20" s="35">
        <f t="shared" si="4"/>
        <v>92.90389737036072</v>
      </c>
      <c r="I20" s="50">
        <f t="shared" si="1"/>
        <v>-59161.369999999995</v>
      </c>
      <c r="J20" s="178">
        <f aca="true" t="shared" si="6" ref="J20:J46">F20/D20*100</f>
        <v>68.84111760678358</v>
      </c>
      <c r="K20" s="178">
        <f>K21+K25+K26+K27</f>
        <v>15726.680000000004</v>
      </c>
      <c r="L20" s="136"/>
      <c r="M20" s="35">
        <f>E20-липень!E20</f>
        <v>31232.59999999999</v>
      </c>
      <c r="N20" s="35">
        <f>F20-липень!F20</f>
        <v>7751.639999999999</v>
      </c>
      <c r="O20" s="47">
        <f t="shared" si="3"/>
        <v>-23480.959999999992</v>
      </c>
      <c r="P20" s="50">
        <f t="shared" si="5"/>
        <v>24.81906725664851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69885.89</v>
      </c>
      <c r="G21" s="43">
        <f t="shared" si="0"/>
        <v>-7294.4100000000035</v>
      </c>
      <c r="H21" s="35">
        <f t="shared" si="4"/>
        <v>90.54887063149533</v>
      </c>
      <c r="I21" s="50">
        <f t="shared" si="1"/>
        <v>-40414.11</v>
      </c>
      <c r="J21" s="178">
        <f t="shared" si="6"/>
        <v>63.3598277425204</v>
      </c>
      <c r="K21" s="178">
        <f>K22+K23+K24</f>
        <v>15304.350000000002</v>
      </c>
      <c r="L21" s="136"/>
      <c r="M21" s="35">
        <f>E21-липень!E21</f>
        <v>19677.100000000006</v>
      </c>
      <c r="N21" s="35">
        <f>F21-липень!F21</f>
        <v>2018.7100000000064</v>
      </c>
      <c r="O21" s="47">
        <f t="shared" si="3"/>
        <v>-17658.39</v>
      </c>
      <c r="P21" s="50">
        <f t="shared" si="5"/>
        <v>10.259184534306407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8544.08</v>
      </c>
      <c r="G22" s="135">
        <f t="shared" si="0"/>
        <v>-79.21999999999935</v>
      </c>
      <c r="H22" s="137">
        <f t="shared" si="4"/>
        <v>99.0813261744344</v>
      </c>
      <c r="I22" s="136">
        <f t="shared" si="1"/>
        <v>-2155.92</v>
      </c>
      <c r="J22" s="136">
        <f t="shared" si="6"/>
        <v>79.85121495327104</v>
      </c>
      <c r="K22" s="136">
        <f>F22-288.8</f>
        <v>8255.28</v>
      </c>
      <c r="L22" s="136">
        <f>F22/288.8*100</f>
        <v>2958.4764542936286</v>
      </c>
      <c r="M22" s="137">
        <f>E22-липень!E22</f>
        <v>8044.099999999999</v>
      </c>
      <c r="N22" s="137">
        <f>F22-липень!F22</f>
        <v>88.09000000000015</v>
      </c>
      <c r="O22" s="138">
        <f t="shared" si="3"/>
        <v>-7956.009999999999</v>
      </c>
      <c r="P22" s="136">
        <f t="shared" si="5"/>
        <v>1.0950883256051038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1282.78</v>
      </c>
      <c r="G23" s="135">
        <f t="shared" si="0"/>
        <v>-195.22000000000003</v>
      </c>
      <c r="H23" s="137"/>
      <c r="I23" s="136">
        <f t="shared" si="1"/>
        <v>-817.22</v>
      </c>
      <c r="J23" s="136">
        <f t="shared" si="6"/>
        <v>61.084761904761905</v>
      </c>
      <c r="K23" s="136">
        <f>F23-0</f>
        <v>1282.78</v>
      </c>
      <c r="L23" s="136"/>
      <c r="M23" s="137">
        <f>E23-липень!E23</f>
        <v>1103</v>
      </c>
      <c r="N23" s="137">
        <f>F23-липень!F23</f>
        <v>509.5799999999999</v>
      </c>
      <c r="O23" s="138">
        <f t="shared" si="3"/>
        <v>-593.4200000000001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60059.03</v>
      </c>
      <c r="G24" s="135">
        <f t="shared" si="0"/>
        <v>-7019.970000000001</v>
      </c>
      <c r="H24" s="137">
        <f t="shared" si="4"/>
        <v>89.53477243250495</v>
      </c>
      <c r="I24" s="136">
        <f t="shared" si="1"/>
        <v>-37440.97</v>
      </c>
      <c r="J24" s="136">
        <f t="shared" si="6"/>
        <v>61.59900512820513</v>
      </c>
      <c r="K24" s="139">
        <f>F24-54292.74</f>
        <v>5766.290000000001</v>
      </c>
      <c r="L24" s="139">
        <f>F24/54292.74*100</f>
        <v>110.62073861072402</v>
      </c>
      <c r="M24" s="137">
        <f>E24-липень!E24</f>
        <v>10530</v>
      </c>
      <c r="N24" s="137">
        <f>F24-липень!F24</f>
        <v>1421.0400000000009</v>
      </c>
      <c r="O24" s="138">
        <f t="shared" si="3"/>
        <v>-9108.96</v>
      </c>
      <c r="P24" s="136">
        <f t="shared" si="5"/>
        <v>13.495156695156703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44.1</v>
      </c>
      <c r="G25" s="43">
        <f t="shared" si="0"/>
        <v>8.600000000000001</v>
      </c>
      <c r="H25" s="35">
        <f t="shared" si="4"/>
        <v>124.22535211267606</v>
      </c>
      <c r="I25" s="50">
        <f t="shared" si="1"/>
        <v>-25.9</v>
      </c>
      <c r="J25" s="178">
        <f t="shared" si="6"/>
        <v>63</v>
      </c>
      <c r="K25" s="178">
        <f>F25-41.08</f>
        <v>3.020000000000003</v>
      </c>
      <c r="L25" s="178">
        <f>F25/41.08*100</f>
        <v>107.35150925024344</v>
      </c>
      <c r="M25" s="35">
        <f>E25-липень!E25</f>
        <v>5.5</v>
      </c>
      <c r="N25" s="35">
        <f>F25-липень!F25</f>
        <v>2.440000000000005</v>
      </c>
      <c r="O25" s="47">
        <f t="shared" si="3"/>
        <v>-3.059999999999995</v>
      </c>
      <c r="P25" s="50">
        <f t="shared" si="5"/>
        <v>44.36363636363645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-583</v>
      </c>
      <c r="G26" s="43">
        <f t="shared" si="0"/>
        <v>-583</v>
      </c>
      <c r="H26" s="35"/>
      <c r="I26" s="50">
        <f t="shared" si="1"/>
        <v>-583</v>
      </c>
      <c r="J26" s="136"/>
      <c r="K26" s="178">
        <f>F26-4244.7</f>
        <v>-4827.7</v>
      </c>
      <c r="L26" s="178">
        <f>F26/4244.7*100</f>
        <v>-13.73477513134026</v>
      </c>
      <c r="M26" s="35">
        <f>E26-липень!E26</f>
        <v>0</v>
      </c>
      <c r="N26" s="35">
        <f>F26-липень!F26</f>
        <v>-52.639999999999986</v>
      </c>
      <c r="O26" s="47">
        <f t="shared" si="3"/>
        <v>-52.639999999999986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61361.64</v>
      </c>
      <c r="G27" s="43">
        <f t="shared" si="0"/>
        <v>-2114.8600000000006</v>
      </c>
      <c r="H27" s="35">
        <f t="shared" si="4"/>
        <v>96.66827881184375</v>
      </c>
      <c r="I27" s="50">
        <f t="shared" si="1"/>
        <v>-18138.36</v>
      </c>
      <c r="J27" s="178">
        <f t="shared" si="6"/>
        <v>77.18445283018868</v>
      </c>
      <c r="K27" s="132">
        <f>F27-56114.63</f>
        <v>5247.010000000002</v>
      </c>
      <c r="L27" s="132">
        <f>F27/56114.63*100</f>
        <v>109.35052053270245</v>
      </c>
      <c r="M27" s="35">
        <f>E27-липень!E27</f>
        <v>11550</v>
      </c>
      <c r="N27" s="35">
        <f>F27-липень!F27</f>
        <v>5783.129999999997</v>
      </c>
      <c r="O27" s="47">
        <f t="shared" si="3"/>
        <v>-5766.870000000003</v>
      </c>
      <c r="P27" s="50">
        <f t="shared" si="5"/>
        <v>50.07038961038959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4031.66</v>
      </c>
      <c r="G32" s="43">
        <f t="shared" si="0"/>
        <v>-1720.4400000000005</v>
      </c>
      <c r="H32" s="35">
        <f t="shared" si="4"/>
        <v>70.09022791676082</v>
      </c>
      <c r="I32" s="50">
        <f t="shared" si="1"/>
        <v>-3468.34</v>
      </c>
      <c r="J32" s="178">
        <f t="shared" si="6"/>
        <v>53.75546666666666</v>
      </c>
      <c r="K32" s="178">
        <f>F32-7363.52</f>
        <v>-3331.8600000000006</v>
      </c>
      <c r="L32" s="178">
        <f>F32/5308.17*100</f>
        <v>75.95197591637042</v>
      </c>
      <c r="M32" s="35">
        <f>E32-липень!E32</f>
        <v>1750.1000000000004</v>
      </c>
      <c r="N32" s="35">
        <f>F32-липень!F32</f>
        <v>2.599999999999909</v>
      </c>
      <c r="O32" s="47">
        <f t="shared" si="3"/>
        <v>-1747.5000000000005</v>
      </c>
      <c r="P32" s="50">
        <f t="shared" si="5"/>
        <v>0.14856293926060846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20694.89</v>
      </c>
      <c r="G33" s="44">
        <f t="shared" si="0"/>
        <v>604.6899999999987</v>
      </c>
      <c r="H33" s="45">
        <f>F33/E33*100</f>
        <v>103.00987546166786</v>
      </c>
      <c r="I33" s="31">
        <f t="shared" si="1"/>
        <v>-8012.209999999999</v>
      </c>
      <c r="J33" s="31">
        <f t="shared" si="6"/>
        <v>72.0897966008409</v>
      </c>
      <c r="K33" s="18">
        <f>K34+K35+K36+K37+K38+K41+K42+K47+K48+K52+K40</f>
        <v>12086.400000000001</v>
      </c>
      <c r="L33" s="18"/>
      <c r="M33" s="18">
        <f>M34+M35+M36+M37+M38+M41+M42+M47+M48+M52+M40+M39</f>
        <v>12920.2</v>
      </c>
      <c r="N33" s="18">
        <f>N34+N35+N36+N37+N38+N41+N42+N47+N48+N52+N40+N39</f>
        <v>1869.6599999999999</v>
      </c>
      <c r="O33" s="49">
        <f t="shared" si="3"/>
        <v>-11050.54</v>
      </c>
      <c r="P33" s="31">
        <f>N33/M33*100</f>
        <v>14.470828624943884</v>
      </c>
      <c r="Q33" s="31">
        <f>N33-1017.63</f>
        <v>852.0299999999999</v>
      </c>
      <c r="R33" s="127">
        <f>N33/1017.63</f>
        <v>1.8372689484390199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289.63</v>
      </c>
      <c r="G36" s="43">
        <f t="shared" si="0"/>
        <v>49.629999999999995</v>
      </c>
      <c r="H36" s="35"/>
      <c r="I36" s="50">
        <f t="shared" si="1"/>
        <v>49.629999999999995</v>
      </c>
      <c r="J36" s="50"/>
      <c r="K36" s="50">
        <f>F36-255.77</f>
        <v>33.859999999999985</v>
      </c>
      <c r="L36" s="50">
        <f>F36/255.77*100</f>
        <v>113.23845642569495</v>
      </c>
      <c r="M36" s="35">
        <f>E36-липень!E36</f>
        <v>240</v>
      </c>
      <c r="N36" s="35">
        <f>F36-липень!F36</f>
        <v>43.139999999999986</v>
      </c>
      <c r="O36" s="47">
        <f t="shared" si="3"/>
        <v>-196.86</v>
      </c>
      <c r="P36" s="50"/>
      <c r="Q36" s="50">
        <f>N36-4.23</f>
        <v>38.90999999999998</v>
      </c>
      <c r="R36" s="126">
        <f>N36/4.23</f>
        <v>10.198581560283683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93.37</v>
      </c>
      <c r="G38" s="43">
        <f t="shared" si="0"/>
        <v>3.3700000000000045</v>
      </c>
      <c r="H38" s="35">
        <f>F38/E38*100</f>
        <v>103.74444444444444</v>
      </c>
      <c r="I38" s="50">
        <f t="shared" si="1"/>
        <v>-46.629999999999995</v>
      </c>
      <c r="J38" s="50">
        <f t="shared" si="6"/>
        <v>66.69285714285714</v>
      </c>
      <c r="K38" s="50">
        <f>F38-82.36</f>
        <v>11.010000000000005</v>
      </c>
      <c r="L38" s="50">
        <f>F38/82.36*100</f>
        <v>113.36813987372511</v>
      </c>
      <c r="M38" s="35">
        <f>E38-липень!E38</f>
        <v>10</v>
      </c>
      <c r="N38" s="35">
        <f>F38-липень!F38</f>
        <v>3.1300000000000097</v>
      </c>
      <c r="O38" s="47">
        <f t="shared" si="3"/>
        <v>-6.86999999999999</v>
      </c>
      <c r="P38" s="50">
        <f>N38/M38*100</f>
        <v>31.300000000000093</v>
      </c>
      <c r="Q38" s="50">
        <f>N38-9.02</f>
        <v>-5.88999999999999</v>
      </c>
      <c r="R38" s="126">
        <f>N38/9.02</f>
        <v>0.34700665188470176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6295.12</v>
      </c>
      <c r="G40" s="43"/>
      <c r="H40" s="35"/>
      <c r="I40" s="50">
        <f t="shared" si="1"/>
        <v>-2704.88</v>
      </c>
      <c r="J40" s="50"/>
      <c r="K40" s="50">
        <f>F40-0</f>
        <v>6295.12</v>
      </c>
      <c r="L40" s="50"/>
      <c r="M40" s="35">
        <f>E40-липень!E40</f>
        <v>6937</v>
      </c>
      <c r="N40" s="35">
        <f>F40-липень!F40</f>
        <v>357.46000000000004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4919.23</v>
      </c>
      <c r="G42" s="43">
        <f t="shared" si="0"/>
        <v>-275.47000000000025</v>
      </c>
      <c r="H42" s="35">
        <f>F42/E42*100</f>
        <v>94.6970951161761</v>
      </c>
      <c r="I42" s="50">
        <f t="shared" si="1"/>
        <v>-2180.7700000000004</v>
      </c>
      <c r="J42" s="50">
        <f t="shared" si="6"/>
        <v>69.28492957746478</v>
      </c>
      <c r="K42" s="50">
        <f>F42-685.66</f>
        <v>4233.57</v>
      </c>
      <c r="L42" s="50">
        <f>F42/685.66*100</f>
        <v>717.4445060233935</v>
      </c>
      <c r="M42" s="35">
        <f>E42-липень!E42</f>
        <v>4632.7</v>
      </c>
      <c r="N42" s="35">
        <f>F42-липень!F42</f>
        <v>227.04999999999927</v>
      </c>
      <c r="O42" s="47">
        <f t="shared" si="3"/>
        <v>-4405.650000000001</v>
      </c>
      <c r="P42" s="50">
        <f>N42/M42*100</f>
        <v>4.90102963714463</v>
      </c>
      <c r="Q42" s="50">
        <f>N42-79.51</f>
        <v>147.53999999999928</v>
      </c>
      <c r="R42" s="126">
        <f>N42/79.51</f>
        <v>2.855615645830704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2925.82</v>
      </c>
      <c r="G48" s="43">
        <f t="shared" si="0"/>
        <v>225.82000000000016</v>
      </c>
      <c r="H48" s="35">
        <f>F48/E48*100</f>
        <v>108.36370370370372</v>
      </c>
      <c r="I48" s="50">
        <f t="shared" si="1"/>
        <v>-1274.1799999999998</v>
      </c>
      <c r="J48" s="50">
        <f>F48/D48*100</f>
        <v>69.66238095238096</v>
      </c>
      <c r="K48" s="50">
        <f>F48-2702.66</f>
        <v>223.1600000000003</v>
      </c>
      <c r="L48" s="50">
        <f>F48/2702.66*100</f>
        <v>108.25705046139731</v>
      </c>
      <c r="M48" s="35">
        <f>E48-липень!E48</f>
        <v>350</v>
      </c>
      <c r="N48" s="35">
        <f>F48-липень!F48</f>
        <v>313.9000000000001</v>
      </c>
      <c r="O48" s="47">
        <f t="shared" si="3"/>
        <v>-36.09999999999991</v>
      </c>
      <c r="P48" s="50">
        <f aca="true" t="shared" si="7" ref="P48:P53">N48/M48*100</f>
        <v>89.68571428571431</v>
      </c>
      <c r="Q48" s="50">
        <f>N48-277.38</f>
        <v>36.520000000000095</v>
      </c>
      <c r="R48" s="126">
        <f>N48/277.38</f>
        <v>1.131660537890259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814.3</v>
      </c>
      <c r="G51" s="135">
        <f t="shared" si="0"/>
        <v>814.3</v>
      </c>
      <c r="H51" s="137"/>
      <c r="I51" s="136">
        <f t="shared" si="1"/>
        <v>814.3</v>
      </c>
      <c r="J51" s="136"/>
      <c r="K51" s="219">
        <f>F51-635.8</f>
        <v>178.5</v>
      </c>
      <c r="L51" s="219">
        <f>F51/635.8*100</f>
        <v>128.07486631016042</v>
      </c>
      <c r="M51" s="137">
        <f>E51-липень!E51</f>
        <v>0</v>
      </c>
      <c r="N51" s="137">
        <f>F51-липень!F51</f>
        <v>131.0999999999999</v>
      </c>
      <c r="O51" s="138">
        <f t="shared" si="3"/>
        <v>131.0999999999999</v>
      </c>
      <c r="P51" s="136"/>
      <c r="Q51" s="50">
        <f>N51-64.93</f>
        <v>66.1699999999999</v>
      </c>
      <c r="R51" s="126">
        <f>N51/64.93</f>
        <v>2.0190974896041873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407190.79</v>
      </c>
      <c r="G55" s="44">
        <f>F55-E55</f>
        <v>-25992.709999999963</v>
      </c>
      <c r="H55" s="45">
        <f>F55/E55*100</f>
        <v>93.99960755661286</v>
      </c>
      <c r="I55" s="31">
        <f>F55-D55</f>
        <v>-193831.81</v>
      </c>
      <c r="J55" s="31">
        <f>F55/D55*100</f>
        <v>67.74966365657464</v>
      </c>
      <c r="K55" s="31">
        <f>K8+K33+K53+K54</f>
        <v>75920.37600000002</v>
      </c>
      <c r="L55" s="31">
        <f>F55/(F55-K55)*100</f>
        <v>122.9179464242768</v>
      </c>
      <c r="M55" s="18">
        <f>M8+M33+M53+M54</f>
        <v>97825.09999999999</v>
      </c>
      <c r="N55" s="18">
        <f>N8+N33+N53+N54</f>
        <v>21578.81</v>
      </c>
      <c r="O55" s="49">
        <f>N55-M55</f>
        <v>-76246.29</v>
      </c>
      <c r="P55" s="31">
        <f>N55/M55*100</f>
        <v>22.058561657488728</v>
      </c>
      <c r="Q55" s="31">
        <f>N55-34768</f>
        <v>-13189.189999999999</v>
      </c>
      <c r="R55" s="171">
        <f>N55/34768</f>
        <v>0.6206514611136678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3579.75</v>
      </c>
      <c r="G65" s="43">
        <f t="shared" si="8"/>
        <v>-1153.6899999999996</v>
      </c>
      <c r="H65" s="35">
        <f>F65/E65*100</f>
        <v>75.62681686046511</v>
      </c>
      <c r="I65" s="53">
        <f t="shared" si="9"/>
        <v>-7996.25</v>
      </c>
      <c r="J65" s="53">
        <f t="shared" si="11"/>
        <v>30.923894263994473</v>
      </c>
      <c r="K65" s="53">
        <f>F65-2291.79</f>
        <v>1287.96</v>
      </c>
      <c r="L65" s="53">
        <f>F65/2291.79*100</f>
        <v>156.19886638828163</v>
      </c>
      <c r="M65" s="35">
        <f>E65-липень!E65</f>
        <v>1020.6799999999994</v>
      </c>
      <c r="N65" s="35">
        <f>F65-липень!F65</f>
        <v>0</v>
      </c>
      <c r="O65" s="47">
        <f t="shared" si="10"/>
        <v>-1020.6799999999994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5991.37</v>
      </c>
      <c r="G67" s="55">
        <f t="shared" si="8"/>
        <v>-778.7699999999995</v>
      </c>
      <c r="H67" s="65">
        <f>F67/E67*100</f>
        <v>88.4969882454425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1080.2800000000002</v>
      </c>
      <c r="L67" s="54"/>
      <c r="M67" s="55">
        <f>M64+M65+M66</f>
        <v>1768.7799999999993</v>
      </c>
      <c r="N67" s="55">
        <f>N64+N65+N66</f>
        <v>0</v>
      </c>
      <c r="O67" s="54">
        <f t="shared" si="10"/>
        <v>-1768.7799999999993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5963.959999999999</v>
      </c>
      <c r="G74" s="44">
        <f>F74-E74</f>
        <v>-856.4000000000005</v>
      </c>
      <c r="H74" s="45">
        <f>F74/E74*100</f>
        <v>87.44347805687676</v>
      </c>
      <c r="I74" s="31">
        <f>F74-D74</f>
        <v>-11208.04</v>
      </c>
      <c r="J74" s="31">
        <f>F74/D74*100</f>
        <v>34.730724435126945</v>
      </c>
      <c r="K74" s="31">
        <f>K62+K67+K71+K72</f>
        <v>789.1900000000002</v>
      </c>
      <c r="L74" s="31"/>
      <c r="M74" s="27">
        <f>M62+M72+M67+M71</f>
        <v>1770.0099999999993</v>
      </c>
      <c r="N74" s="27">
        <f>N62+N72+N67+N71+N73</f>
        <v>0.219999999999999</v>
      </c>
      <c r="O74" s="31">
        <f>N74-M74</f>
        <v>-1769.7899999999993</v>
      </c>
      <c r="P74" s="31">
        <f>N74/M74*100</f>
        <v>0.012429308308992552</v>
      </c>
      <c r="Q74" s="31">
        <f>N74-8104.96</f>
        <v>-8104.74</v>
      </c>
      <c r="R74" s="127">
        <f>N74/8104.96</f>
        <v>2.7143872394188127E-05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413154.75</v>
      </c>
      <c r="G75" s="44">
        <f>F75-E75</f>
        <v>-26849.109999999928</v>
      </c>
      <c r="H75" s="45">
        <f>F75/E75*100</f>
        <v>93.89798307678484</v>
      </c>
      <c r="I75" s="31">
        <f>F75-D75</f>
        <v>-205039.84999999998</v>
      </c>
      <c r="J75" s="31">
        <f>F75/D75*100</f>
        <v>66.83247475794839</v>
      </c>
      <c r="K75" s="31">
        <f>K55+K74</f>
        <v>76709.56600000002</v>
      </c>
      <c r="L75" s="31">
        <f>F75/(F75-K75)*100</f>
        <v>122.80001903668204</v>
      </c>
      <c r="M75" s="18">
        <f>M55+M74</f>
        <v>99595.10999999999</v>
      </c>
      <c r="N75" s="18">
        <f>N55+N74</f>
        <v>21579.030000000002</v>
      </c>
      <c r="O75" s="31">
        <f>N75-M75</f>
        <v>-78016.07999999999</v>
      </c>
      <c r="P75" s="31">
        <f>N75/M75*100</f>
        <v>21.666756530516412</v>
      </c>
      <c r="Q75" s="31">
        <f>N75-42872.96</f>
        <v>-21293.929999999997</v>
      </c>
      <c r="R75" s="127">
        <f>N75/42872.96</f>
        <v>0.5033249395423129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12</v>
      </c>
      <c r="D77" s="4" t="s">
        <v>118</v>
      </c>
    </row>
    <row r="78" spans="2:17" ht="31.5">
      <c r="B78" s="71" t="s">
        <v>154</v>
      </c>
      <c r="C78" s="34">
        <f>IF(O55&lt;0,ABS(O55/C77),0)</f>
        <v>6353.857499999999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42228</v>
      </c>
      <c r="D79" s="34">
        <v>1785.2</v>
      </c>
      <c r="N79" s="232"/>
      <c r="O79" s="232"/>
    </row>
    <row r="80" spans="3:15" ht="15.75">
      <c r="C80" s="111">
        <v>42227</v>
      </c>
      <c r="D80" s="34">
        <v>1938.6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42226</v>
      </c>
      <c r="D81" s="34">
        <v>1816</v>
      </c>
      <c r="G81" s="229" t="s">
        <v>151</v>
      </c>
      <c r="H81" s="229"/>
      <c r="I81" s="106">
        <f>'[3]залишки  (2)'!$G$9/1000</f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f>'[3]залишки  (2)'!$G$8/1000</f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f>'[3]залишки  (2)'!$G$6/1000</f>
        <v>35256.56783</v>
      </c>
      <c r="E83" s="73"/>
      <c r="F83" s="156" t="s">
        <v>147</v>
      </c>
      <c r="G83" s="229" t="s">
        <v>149</v>
      </c>
      <c r="H83" s="229"/>
      <c r="I83" s="107">
        <f>'[3]залишки  (2)'!$G$10/1000</f>
        <v>26346.835619999998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22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22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22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22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22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22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2015-08-13T07:18:11Z</cp:lastPrinted>
  <dcterms:created xsi:type="dcterms:W3CDTF">2003-07-28T11:27:56Z</dcterms:created>
  <dcterms:modified xsi:type="dcterms:W3CDTF">2015-08-13T07:18:32Z</dcterms:modified>
  <cp:category/>
  <cp:version/>
  <cp:contentType/>
  <cp:contentStatus/>
</cp:coreProperties>
</file>